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netorgft9245156-my.sharepoint.com/personal/isa_isahaji_com/Documents/f_models/MU/"/>
    </mc:Choice>
  </mc:AlternateContent>
  <xr:revisionPtr revIDLastSave="1330" documentId="13_ncr:1_{3D322101-CD53-C242-8CA6-383863D76E7C}" xr6:coauthVersionLast="47" xr6:coauthVersionMax="47" xr10:uidLastSave="{ADCD1556-BAA3-6A46-91D4-D866291752CB}"/>
  <bookViews>
    <workbookView xWindow="0" yWindow="640" windowWidth="19220" windowHeight="20980" activeTab="5" xr2:uid="{00000000-000D-0000-FFFF-FFFF00000000}"/>
  </bookViews>
  <sheets>
    <sheet name="Main" sheetId="1" r:id="rId1"/>
    <sheet name="Snapshot" sheetId="2" r:id="rId2"/>
    <sheet name="EPS" sheetId="3" r:id="rId3"/>
    <sheet name="Ratios" sheetId="6" r:id="rId4"/>
    <sheet name="Revenue" sheetId="4" r:id="rId5"/>
    <sheet name="DCF" sheetId="7" r:id="rId6"/>
    <sheet name="Assumptions" sheetId="8" r:id="rId7"/>
    <sheet name="Refrences" sheetId="5" r:id="rId8"/>
  </sheets>
  <definedNames>
    <definedName name="_xlnm._FilterDatabase" localSheetId="0" hidden="1">Main!$A$1:$A$1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7" l="1"/>
  <c r="N22" i="7"/>
  <c r="M22" i="7"/>
  <c r="L22" i="7"/>
  <c r="K22" i="7"/>
  <c r="J22" i="7"/>
  <c r="R10" i="7"/>
  <c r="R15" i="7" s="1"/>
  <c r="R14" i="7"/>
  <c r="E6" i="8"/>
  <c r="B6" i="8"/>
  <c r="J7" i="7"/>
  <c r="K7" i="7" s="1"/>
  <c r="L7" i="7" s="1"/>
  <c r="M7" i="7" s="1"/>
  <c r="N7" i="7" s="1"/>
  <c r="O7" i="7" s="1"/>
  <c r="J29" i="7"/>
  <c r="K29" i="7"/>
  <c r="L29" i="7"/>
  <c r="M29" i="7"/>
  <c r="N29" i="7"/>
  <c r="O29" i="7"/>
  <c r="J3" i="7"/>
  <c r="J2" i="7"/>
  <c r="J4" i="7"/>
  <c r="K4" i="7" s="1"/>
  <c r="L4" i="7" s="1"/>
  <c r="H29" i="7"/>
  <c r="G29" i="7"/>
  <c r="F29" i="7"/>
  <c r="E29" i="7"/>
  <c r="D29" i="7"/>
  <c r="C29" i="7"/>
  <c r="B29" i="7"/>
  <c r="I29" i="7"/>
  <c r="B12" i="7"/>
  <c r="C12" i="7"/>
  <c r="D12" i="7"/>
  <c r="E12" i="7"/>
  <c r="F12" i="7"/>
  <c r="H12" i="7"/>
  <c r="G12" i="7"/>
  <c r="I12" i="7"/>
  <c r="I5" i="7"/>
  <c r="I8" i="7" s="1"/>
  <c r="H5" i="7"/>
  <c r="H8" i="7" s="1"/>
  <c r="G5" i="7"/>
  <c r="G8" i="7" s="1"/>
  <c r="F5" i="7"/>
  <c r="F8" i="7" s="1"/>
  <c r="E5" i="7"/>
  <c r="E8" i="7" s="1"/>
  <c r="D5" i="7"/>
  <c r="D8" i="7" s="1"/>
  <c r="C5" i="7"/>
  <c r="C8" i="7" s="1"/>
  <c r="B5" i="7"/>
  <c r="B8" i="7" s="1"/>
  <c r="I13" i="7" l="1"/>
  <c r="I14" i="7" s="1"/>
  <c r="K3" i="7"/>
  <c r="L3" i="7" s="1"/>
  <c r="M3" i="7" s="1"/>
  <c r="N3" i="7" s="1"/>
  <c r="O3" i="7" s="1"/>
  <c r="G13" i="7"/>
  <c r="G31" i="7" s="1"/>
  <c r="H13" i="7"/>
  <c r="H31" i="7" s="1"/>
  <c r="K2" i="7"/>
  <c r="L2" i="7" s="1"/>
  <c r="M2" i="7" s="1"/>
  <c r="N2" i="7" s="1"/>
  <c r="J5" i="7"/>
  <c r="B15" i="8" s="1"/>
  <c r="M4" i="7"/>
  <c r="N4" i="7" s="1"/>
  <c r="O4" i="7" s="1"/>
  <c r="C13" i="7"/>
  <c r="C31" i="7" s="1"/>
  <c r="B13" i="7"/>
  <c r="B31" i="7" s="1"/>
  <c r="D13" i="7"/>
  <c r="D31" i="7" s="1"/>
  <c r="E13" i="7"/>
  <c r="E31" i="7" s="1"/>
  <c r="F13" i="7"/>
  <c r="F31" i="7" s="1"/>
  <c r="I31" i="7" l="1"/>
  <c r="G14" i="7"/>
  <c r="N5" i="7"/>
  <c r="J8" i="7"/>
  <c r="J9" i="7"/>
  <c r="J10" i="7"/>
  <c r="F14" i="7"/>
  <c r="B14" i="7"/>
  <c r="C14" i="7"/>
  <c r="H14" i="7"/>
  <c r="E14" i="7"/>
  <c r="D14" i="7"/>
  <c r="L5" i="7"/>
  <c r="D15" i="8" s="1"/>
  <c r="K5" i="7"/>
  <c r="C15" i="8" s="1"/>
  <c r="M5" i="7"/>
  <c r="B15" i="6"/>
  <c r="B9" i="6"/>
  <c r="E3" i="6"/>
  <c r="B18" i="6" s="1"/>
  <c r="B3" i="6"/>
  <c r="A9" i="6" s="1"/>
  <c r="I5" i="4"/>
  <c r="H5" i="4"/>
  <c r="G5" i="4"/>
  <c r="F5" i="4"/>
  <c r="E5" i="4"/>
  <c r="D5" i="4"/>
  <c r="C5" i="4"/>
  <c r="B5" i="4"/>
  <c r="C1" i="4"/>
  <c r="D1" i="4" s="1"/>
  <c r="E1" i="4" s="1"/>
  <c r="F1" i="4" s="1"/>
  <c r="G1" i="4" s="1"/>
  <c r="H1" i="4" s="1"/>
  <c r="I1" i="4" s="1"/>
  <c r="F6" i="3"/>
  <c r="E6" i="3"/>
  <c r="D6" i="3"/>
  <c r="C6" i="3"/>
  <c r="B6" i="3"/>
  <c r="H6" i="3"/>
  <c r="G6" i="3"/>
  <c r="I6" i="3"/>
  <c r="C1" i="3"/>
  <c r="D1" i="3" s="1"/>
  <c r="E1" i="3" s="1"/>
  <c r="F1" i="3" s="1"/>
  <c r="G1" i="3" s="1"/>
  <c r="H1" i="3" s="1"/>
  <c r="I1" i="3" s="1"/>
  <c r="B7" i="2"/>
  <c r="B3" i="2"/>
  <c r="A3" i="6" s="1"/>
  <c r="F3" i="6" s="1"/>
  <c r="M10" i="7" l="1"/>
  <c r="E15" i="8"/>
  <c r="N10" i="7"/>
  <c r="F15" i="8"/>
  <c r="B8" i="2"/>
  <c r="A18" i="6"/>
  <c r="B9" i="2"/>
  <c r="A6" i="6"/>
  <c r="A15" i="6" s="1"/>
  <c r="C15" i="6" s="1"/>
  <c r="C18" i="6"/>
  <c r="A12" i="6"/>
  <c r="C12" i="6" s="1"/>
  <c r="L10" i="7"/>
  <c r="L9" i="7"/>
  <c r="K10" i="7"/>
  <c r="K9" i="7"/>
  <c r="K8" i="7"/>
  <c r="J12" i="7"/>
  <c r="J13" i="7" s="1"/>
  <c r="J31" i="7" s="1"/>
  <c r="M9" i="7"/>
  <c r="L8" i="7"/>
  <c r="O2" i="7"/>
  <c r="O5" i="7" s="1"/>
  <c r="G3" i="6"/>
  <c r="C9" i="6"/>
  <c r="O10" i="7" l="1"/>
  <c r="G15" i="8"/>
  <c r="J42" i="7"/>
  <c r="C6" i="6"/>
  <c r="K12" i="7"/>
  <c r="K13" i="7" s="1"/>
  <c r="K31" i="7" s="1"/>
  <c r="K42" i="7" s="1"/>
  <c r="L12" i="7"/>
  <c r="L13" i="7" s="1"/>
  <c r="L31" i="7" s="1"/>
  <c r="L42" i="7" s="1"/>
  <c r="M12" i="7"/>
  <c r="J14" i="7"/>
  <c r="N9" i="7"/>
  <c r="O9" i="7"/>
  <c r="M8" i="7"/>
  <c r="L14" i="7" l="1"/>
  <c r="N12" i="7"/>
  <c r="M13" i="7"/>
  <c r="M14" i="7" s="1"/>
  <c r="K14" i="7"/>
  <c r="O12" i="7"/>
  <c r="O8" i="7"/>
  <c r="N8" i="7"/>
  <c r="M31" i="7" l="1"/>
  <c r="M42" i="7" s="1"/>
  <c r="N13" i="7"/>
  <c r="O13" i="7"/>
  <c r="O31" i="7" s="1"/>
  <c r="R20" i="7" s="1"/>
  <c r="O42" i="7" l="1"/>
  <c r="R19" i="7"/>
  <c r="N31" i="7"/>
  <c r="N42" i="7" s="1"/>
  <c r="N14" i="7"/>
  <c r="O14" i="7"/>
  <c r="R18" i="7" l="1"/>
  <c r="R21" i="7" s="1"/>
  <c r="R22" i="7" l="1"/>
  <c r="R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tc={E847B2E1-E56A-8940-A56F-FA72E2DABAA0}</author>
  </authors>
  <commentList>
    <comment ref="J17" authorId="0" shapeId="0" xr:uid="{E847B2E1-E56A-8940-A56F-FA72E2DABAA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https://investors.micron.com/static-files/7a1f8c6f-1ce9-4efe-bc6e-722b6b9c4550 Page 41 </t>
      </text>
    </comment>
  </commentList>
</comments>
</file>

<file path=xl/sharedStrings.xml><?xml version="1.0" encoding="utf-8"?>
<sst xmlns="http://schemas.openxmlformats.org/spreadsheetml/2006/main" count="134" uniqueCount="118">
  <si>
    <t>Micron Technologies</t>
  </si>
  <si>
    <t>$MU</t>
  </si>
  <si>
    <t>CEO</t>
  </si>
  <si>
    <t>Sanjay Mehotra</t>
  </si>
  <si>
    <t>CFO</t>
  </si>
  <si>
    <t>Mark Murphy</t>
  </si>
  <si>
    <t>CTO</t>
  </si>
  <si>
    <t>Scott J. Doboer</t>
  </si>
  <si>
    <t>Sector</t>
  </si>
  <si>
    <t>Semiconductor</t>
  </si>
  <si>
    <t>Founded</t>
  </si>
  <si>
    <t>Shares Outstanding</t>
  </si>
  <si>
    <t>Share Price</t>
  </si>
  <si>
    <t>Market Cap</t>
  </si>
  <si>
    <t>Cash &amp; cash equivalents</t>
  </si>
  <si>
    <t>Short Term Debt</t>
  </si>
  <si>
    <t>Long Term Debt</t>
  </si>
  <si>
    <t>Total Debt</t>
  </si>
  <si>
    <t>Enterprise Value</t>
  </si>
  <si>
    <t>Net Debt</t>
  </si>
  <si>
    <t>Net Income</t>
  </si>
  <si>
    <t>Preferred Dividends</t>
  </si>
  <si>
    <t>Diluted Shares Outstanding</t>
  </si>
  <si>
    <t>EPS</t>
  </si>
  <si>
    <t>MC</t>
  </si>
  <si>
    <t>PPS</t>
  </si>
  <si>
    <t>Total Assets</t>
  </si>
  <si>
    <t>Total Liablities</t>
  </si>
  <si>
    <t>Book Value</t>
  </si>
  <si>
    <t>P/B</t>
  </si>
  <si>
    <t>BVPS</t>
  </si>
  <si>
    <t>EV</t>
  </si>
  <si>
    <t>EBITDA</t>
  </si>
  <si>
    <t>EV/EBITDA</t>
  </si>
  <si>
    <t>P/E</t>
  </si>
  <si>
    <t>FCF</t>
  </si>
  <si>
    <t>P/FCF</t>
  </si>
  <si>
    <t>Sales</t>
  </si>
  <si>
    <t>EV/Sales</t>
  </si>
  <si>
    <t>Debt</t>
  </si>
  <si>
    <t>Equity</t>
  </si>
  <si>
    <t>Debt/Equity</t>
  </si>
  <si>
    <t>DRAM</t>
  </si>
  <si>
    <t>NAND</t>
  </si>
  <si>
    <t>Other</t>
  </si>
  <si>
    <t>Total</t>
  </si>
  <si>
    <t>Growth Rate</t>
  </si>
  <si>
    <t xml:space="preserve">Revenue </t>
  </si>
  <si>
    <t>PV FCF</t>
  </si>
  <si>
    <t>COGS</t>
  </si>
  <si>
    <t>TV</t>
  </si>
  <si>
    <t>Gross Profit</t>
  </si>
  <si>
    <t xml:space="preserve">PV </t>
  </si>
  <si>
    <t>R&amp;D</t>
  </si>
  <si>
    <t>SG&amp;A</t>
  </si>
  <si>
    <t>Equity Risk Premium</t>
  </si>
  <si>
    <t>Beta</t>
  </si>
  <si>
    <t>OpEx</t>
  </si>
  <si>
    <t>Cost of Equity</t>
  </si>
  <si>
    <t>EBIT</t>
  </si>
  <si>
    <t>Cost of Debt</t>
  </si>
  <si>
    <t>Tax rate</t>
  </si>
  <si>
    <t>Weight of Equity</t>
  </si>
  <si>
    <t>Weight of Debt</t>
  </si>
  <si>
    <t>Effective Tax Rate</t>
  </si>
  <si>
    <t>Interest Expense</t>
  </si>
  <si>
    <t>WACC</t>
  </si>
  <si>
    <t>D&amp;A</t>
  </si>
  <si>
    <t>Equity Value</t>
  </si>
  <si>
    <t>CapeEx</t>
  </si>
  <si>
    <t>Receivables</t>
  </si>
  <si>
    <t>Inventories</t>
  </si>
  <si>
    <t>Accounts payable</t>
  </si>
  <si>
    <t>WC</t>
  </si>
  <si>
    <t>Bit Growth DRAM</t>
  </si>
  <si>
    <t>ASP Growth DRAM</t>
  </si>
  <si>
    <t>Bit Growth NAND</t>
  </si>
  <si>
    <t>ASP Growth NAND</t>
  </si>
  <si>
    <t>Utlization Index</t>
  </si>
  <si>
    <t>https://investors.micron.com/news-releases/news-release-details/micron-breaks-ground-new-hbm-advanced-packaging-facility</t>
  </si>
  <si>
    <t>Fab Expansion</t>
  </si>
  <si>
    <t>https://www.trendforce.com/news/2025/07/17/news-nand-flash-price-hikes-reportedly-set-for-q3-with-supply-shortage-likely-stretching-into-2026/</t>
  </si>
  <si>
    <t>NAND Price Hike</t>
  </si>
  <si>
    <t>https://seekingalpha.com/news/4462491-micron-signals-high-teens-dram-bit-demand-growth-for-2025-amid-expanding-ai-and-industrial</t>
  </si>
  <si>
    <t>Bit growth</t>
  </si>
  <si>
    <t>https://www.tomshardware.com/pc-components/dram/dram-prices-are-about-to-skyrocket-ddr4-and-gddr6-among-formats-that-could-increase-in-price-by-up-to-45-percent</t>
  </si>
  <si>
    <t>https://en.eeworld.com.cn/news/manufacture/eic646715.html</t>
  </si>
  <si>
    <t>https://www.pwc.com/gx/en/industries/technology/state-of-the-semiconductor-industry-report.pdf</t>
  </si>
  <si>
    <t>https://investors.micron.com/static-files/7a1f8c6f-1ce9-4efe-bc6e-722b6b9c4550</t>
  </si>
  <si>
    <t>https://investors.micron.com/news-releases/news-release-details/micron-and-trump-administration-announce-expanded-us-investments</t>
  </si>
  <si>
    <t>Debt Issued</t>
  </si>
  <si>
    <t>Debt Repaymement</t>
  </si>
  <si>
    <t>2018A</t>
  </si>
  <si>
    <t>2019A</t>
  </si>
  <si>
    <t>2020A</t>
  </si>
  <si>
    <t>2021A</t>
  </si>
  <si>
    <t>2022A</t>
  </si>
  <si>
    <t>2023A</t>
  </si>
  <si>
    <t>2024A</t>
  </si>
  <si>
    <t>2026E</t>
  </si>
  <si>
    <t>2027E</t>
  </si>
  <si>
    <t>2028E</t>
  </si>
  <si>
    <t>2029E</t>
  </si>
  <si>
    <t>2030E</t>
  </si>
  <si>
    <t>2031E</t>
  </si>
  <si>
    <t>2025A</t>
  </si>
  <si>
    <t>Capital Assumptions</t>
  </si>
  <si>
    <t>Risk Free Rate</t>
  </si>
  <si>
    <t>Valuvation Assumptions</t>
  </si>
  <si>
    <t>Demand Outlook</t>
  </si>
  <si>
    <t>Semiconductor Report</t>
  </si>
  <si>
    <t>10-K</t>
  </si>
  <si>
    <t>PR</t>
  </si>
  <si>
    <t>Manfacturing Development</t>
  </si>
  <si>
    <t>CAGR</t>
  </si>
  <si>
    <t>Initial</t>
  </si>
  <si>
    <t>Years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</si>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</sst>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3F3F76"/>
      <name val="Calibri"/>
      <family val="2"/>
      <scheme val="minor"/>
    </font>
    <font>
      <i/>
      <sz val="12"/>
      <color rgb="FF7F7F7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8" fillId="5" borderId="1" applyNumberFormat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9" fontId="0" fillId="0" borderId="0" xfId="1" applyFont="1"/>
    <xf numFmtId="10" fontId="0" fillId="0" borderId="0" xfId="1" applyNumberFormat="1" applyFont="1"/>
    <xf numFmtId="0" fontId="3" fillId="0" borderId="0" xfId="0" applyFont="1"/>
    <xf numFmtId="0" fontId="4" fillId="0" borderId="0" xfId="3"/>
    <xf numFmtId="9" fontId="3" fillId="0" borderId="0" xfId="0" applyNumberFormat="1" applyFont="1"/>
    <xf numFmtId="43" fontId="0" fillId="0" borderId="0" xfId="2" applyFont="1"/>
    <xf numFmtId="165" fontId="0" fillId="0" borderId="0" xfId="0" applyNumberFormat="1"/>
    <xf numFmtId="43" fontId="0" fillId="0" borderId="0" xfId="1" applyNumberFormat="1" applyFont="1"/>
    <xf numFmtId="165" fontId="0" fillId="0" borderId="0" xfId="2" applyNumberFormat="1" applyFont="1"/>
    <xf numFmtId="2" fontId="0" fillId="0" borderId="0" xfId="0" applyNumberFormat="1"/>
    <xf numFmtId="165" fontId="3" fillId="0" borderId="0" xfId="2" applyNumberFormat="1" applyFont="1"/>
    <xf numFmtId="0" fontId="0" fillId="0" borderId="3" xfId="0" applyBorder="1"/>
    <xf numFmtId="0" fontId="3" fillId="0" borderId="3" xfId="0" applyFont="1" applyBorder="1"/>
    <xf numFmtId="0" fontId="0" fillId="0" borderId="5" xfId="0" applyBorder="1"/>
    <xf numFmtId="1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2" borderId="2" xfId="4"/>
    <xf numFmtId="165" fontId="5" fillId="2" borderId="2" xfId="4" applyNumberFormat="1"/>
    <xf numFmtId="164" fontId="5" fillId="2" borderId="2" xfId="4" applyNumberFormat="1"/>
    <xf numFmtId="0" fontId="6" fillId="2" borderId="1" xfId="5"/>
    <xf numFmtId="0" fontId="6" fillId="2" borderId="6" xfId="5" applyBorder="1"/>
    <xf numFmtId="165" fontId="0" fillId="0" borderId="6" xfId="0" applyNumberFormat="1" applyBorder="1"/>
    <xf numFmtId="165" fontId="5" fillId="2" borderId="6" xfId="4" applyNumberFormat="1" applyBorder="1"/>
    <xf numFmtId="0" fontId="9" fillId="0" borderId="0" xfId="7"/>
    <xf numFmtId="0" fontId="0" fillId="0" borderId="4" xfId="0" applyBorder="1"/>
    <xf numFmtId="0" fontId="0" fillId="0" borderId="6" xfId="0" applyBorder="1" applyAlignment="1">
      <alignment horizontal="center"/>
    </xf>
    <xf numFmtId="43" fontId="0" fillId="0" borderId="6" xfId="2" applyFont="1" applyBorder="1"/>
    <xf numFmtId="166" fontId="0" fillId="0" borderId="6" xfId="0" applyNumberFormat="1" applyBorder="1"/>
    <xf numFmtId="2" fontId="0" fillId="0" borderId="6" xfId="0" applyNumberFormat="1" applyBorder="1"/>
    <xf numFmtId="2" fontId="0" fillId="0" borderId="6" xfId="0" applyNumberFormat="1" applyBorder="1" applyAlignment="1">
      <alignment horizontal="center"/>
    </xf>
    <xf numFmtId="0" fontId="0" fillId="0" borderId="6" xfId="0" applyBorder="1"/>
    <xf numFmtId="9" fontId="0" fillId="0" borderId="6" xfId="1" applyFont="1" applyBorder="1"/>
    <xf numFmtId="0" fontId="0" fillId="0" borderId="7" xfId="0" applyBorder="1"/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8" fillId="5" borderId="1" xfId="6" applyAlignment="1">
      <alignment horizontal="center"/>
    </xf>
  </cellXfs>
  <cellStyles count="8">
    <cellStyle name="Calculation" xfId="5" builtinId="22"/>
    <cellStyle name="Comma" xfId="2" builtinId="3"/>
    <cellStyle name="Explanatory Text" xfId="7" builtinId="53"/>
    <cellStyle name="Hyperlink" xfId="3" builtinId="8"/>
    <cellStyle name="Input" xfId="6" builtinId="20"/>
    <cellStyle name="Normal" xfId="0" builtinId="0"/>
    <cellStyle name="Output" xfId="4" builtinId="2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sa haji" id="{3C200359-B49D-C44A-A6A5-E30B8C991C79}" userId="S::isa@isahaji.com::6b00b432-1a3c-479f-b468-4323285f85c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7" dT="2025-10-21T18:12:48.69" personId="{3C200359-B49D-C44A-A6A5-E30B8C991C79}" id="{E847B2E1-E56A-8940-A56F-FA72E2DABAA0}">
    <text xml:space="preserve">https://investors.micron.com/static-files/7a1f8c6f-1ce9-4efe-bc6e-722b6b9c4550 Page 41 </text>
    <extLst>
      <x:ext xmlns:xltc2="http://schemas.microsoft.com/office/spreadsheetml/2020/threadedcomments2" uri="{F7C98A9C-CBB3-438F-8F68-D28B6AF4A901}">
        <xltc2:checksum>785493776</xltc2:checksum>
        <xltc2:hyperlink startIndex="0" length="78" url="https://investors.micron.com/static-files/7a1f8c6f-1ce9-4efe-bc6e-722b6b9c4550"/>
      </x:ext>
    </extLst>
  </threadedComment>
</ThreadedComment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investors.micron.com/news-releases/news-release-details/micron-and-trump-administration-announce-expanded-us-investments" TargetMode="External"/><Relationship Id="rId3" Type="http://schemas.openxmlformats.org/officeDocument/2006/relationships/hyperlink" Target="https://www.trendforce.com/news/2025/07/17/news-nand-flash-price-hikes-reportedly-set-for-q3-with-supply-shortage-likely-stretching-into-2026/" TargetMode="External"/><Relationship Id="rId7" Type="http://schemas.openxmlformats.org/officeDocument/2006/relationships/hyperlink" Target="https://investors.micron.com/static-files/7a1f8c6f-1ce9-4efe-bc6e-722b6b9c4550" TargetMode="External"/><Relationship Id="rId2" Type="http://schemas.openxmlformats.org/officeDocument/2006/relationships/hyperlink" Target="https://www.tomshardware.com/pc-components/dram/dram-prices-are-about-to-skyrocket-ddr4-and-gddr6-among-formats-that-could-increase-in-price-by-up-to-45-percent" TargetMode="External"/><Relationship Id="rId1" Type="http://schemas.openxmlformats.org/officeDocument/2006/relationships/hyperlink" Target="https://seekingalpha.com/news/4462491-micron-signals-high-teens-dram-bit-demand-growth-for-2025-amid-expanding-ai-and-industrial" TargetMode="External"/><Relationship Id="rId6" Type="http://schemas.openxmlformats.org/officeDocument/2006/relationships/hyperlink" Target="https://www.pwc.com/gx/en/industries/technology/state-of-the-semiconductor-industry-report.pdf" TargetMode="External"/><Relationship Id="rId5" Type="http://schemas.openxmlformats.org/officeDocument/2006/relationships/hyperlink" Target="https://en.eeworld.com.cn/news/manufacture/eic646715.html" TargetMode="External"/><Relationship Id="rId4" Type="http://schemas.openxmlformats.org/officeDocument/2006/relationships/hyperlink" Target="https://investors.micron.com/news-releases/news-release-details/micron-breaks-ground-new-hbm-advanced-packaging-fac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zoomScaleNormal="100" workbookViewId="0">
      <selection activeCell="B2" sqref="B2"/>
    </sheetView>
  </sheetViews>
  <sheetFormatPr baseColWidth="10" defaultColWidth="8.83203125" defaultRowHeight="15" x14ac:dyDescent="0.2"/>
  <cols>
    <col min="1" max="1" width="33.6640625" style="1" bestFit="1" customWidth="1"/>
    <col min="2" max="2" width="45.5" style="1" bestFit="1" customWidth="1"/>
    <col min="3" max="16384" width="8.83203125" style="1"/>
  </cols>
  <sheetData>
    <row r="1" spans="1:3" x14ac:dyDescent="0.2">
      <c r="A1" s="1" t="s">
        <v>0</v>
      </c>
      <c r="B1" s="1" t="s">
        <v>1</v>
      </c>
      <c r="C1" s="37"/>
    </row>
    <row r="4" spans="1:3" x14ac:dyDescent="0.2">
      <c r="A4" s="1" t="s">
        <v>2</v>
      </c>
      <c r="B4" s="1" t="s">
        <v>3</v>
      </c>
    </row>
    <row r="5" spans="1:3" x14ac:dyDescent="0.2">
      <c r="A5" s="1" t="s">
        <v>4</v>
      </c>
      <c r="B5" s="1" t="s">
        <v>5</v>
      </c>
    </row>
    <row r="6" spans="1:3" x14ac:dyDescent="0.2">
      <c r="A6" s="1" t="s">
        <v>6</v>
      </c>
      <c r="B6" s="1" t="s">
        <v>7</v>
      </c>
    </row>
    <row r="8" spans="1:3" x14ac:dyDescent="0.2">
      <c r="A8" s="1" t="s">
        <v>8</v>
      </c>
      <c r="B8" s="1" t="s">
        <v>9</v>
      </c>
    </row>
    <row r="10" spans="1:3" x14ac:dyDescent="0.2">
      <c r="A10" s="1" t="s">
        <v>10</v>
      </c>
      <c r="B10" s="38">
        <v>1978</v>
      </c>
    </row>
    <row r="11" spans="1:3" x14ac:dyDescent="0.2">
      <c r="B11" s="37"/>
    </row>
    <row r="12" spans="1:3" x14ac:dyDescent="0.2">
      <c r="B12" s="3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6DD3-A65C-0146-98FA-26280DDA641B}">
  <dimension ref="A1:B9"/>
  <sheetViews>
    <sheetView showGridLines="0" workbookViewId="0">
      <selection activeCell="F5" sqref="F5:N18"/>
    </sheetView>
  </sheetViews>
  <sheetFormatPr baseColWidth="10" defaultColWidth="11.5" defaultRowHeight="15" x14ac:dyDescent="0.2"/>
  <cols>
    <col min="1" max="1" width="21.83203125" bestFit="1" customWidth="1"/>
  </cols>
  <sheetData>
    <row r="1" spans="1:2" ht="16" x14ac:dyDescent="0.2">
      <c r="A1" s="26" t="s">
        <v>11</v>
      </c>
      <c r="B1" s="20">
        <v>1125</v>
      </c>
    </row>
    <row r="2" spans="1:2" ht="16" x14ac:dyDescent="0.2">
      <c r="A2" s="26" t="s">
        <v>12</v>
      </c>
      <c r="B2" s="20">
        <v>195</v>
      </c>
    </row>
    <row r="3" spans="1:2" ht="16" x14ac:dyDescent="0.2">
      <c r="A3" s="26" t="s">
        <v>13</v>
      </c>
      <c r="B3" s="20">
        <f>B2*B1</f>
        <v>219375</v>
      </c>
    </row>
    <row r="4" spans="1:2" ht="16" x14ac:dyDescent="0.2">
      <c r="A4" s="26" t="s">
        <v>14</v>
      </c>
      <c r="B4" s="20">
        <v>9642</v>
      </c>
    </row>
    <row r="5" spans="1:2" ht="16" x14ac:dyDescent="0.2">
      <c r="A5" s="26" t="s">
        <v>15</v>
      </c>
      <c r="B5" s="20">
        <v>560</v>
      </c>
    </row>
    <row r="6" spans="1:2" ht="16" x14ac:dyDescent="0.2">
      <c r="A6" s="26" t="s">
        <v>16</v>
      </c>
      <c r="B6" s="20">
        <v>14017</v>
      </c>
    </row>
    <row r="7" spans="1:2" ht="16" x14ac:dyDescent="0.2">
      <c r="A7" s="26" t="s">
        <v>17</v>
      </c>
      <c r="B7" s="20">
        <f>B6+B5</f>
        <v>14577</v>
      </c>
    </row>
    <row r="8" spans="1:2" ht="16" x14ac:dyDescent="0.2">
      <c r="A8" s="26" t="s">
        <v>18</v>
      </c>
      <c r="B8" s="20">
        <f>B7+B3-B4</f>
        <v>224310</v>
      </c>
    </row>
    <row r="9" spans="1:2" ht="16" x14ac:dyDescent="0.2">
      <c r="A9" s="26" t="s">
        <v>19</v>
      </c>
      <c r="B9" s="20">
        <f>B8-B3</f>
        <v>4935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05B8-5121-C84F-B82B-4607CDC73D83}">
  <dimension ref="A1:I6"/>
  <sheetViews>
    <sheetView showGridLines="0" workbookViewId="0">
      <selection activeCell="H15" sqref="H15"/>
    </sheetView>
  </sheetViews>
  <sheetFormatPr baseColWidth="10" defaultColWidth="11.5" defaultRowHeight="15" x14ac:dyDescent="0.2"/>
  <cols>
    <col min="1" max="1" width="22" bestFit="1" customWidth="1"/>
  </cols>
  <sheetData>
    <row r="1" spans="1:9" x14ac:dyDescent="0.2">
      <c r="A1" s="15"/>
      <c r="B1" s="27">
        <v>2018</v>
      </c>
      <c r="C1" s="27">
        <f t="shared" ref="C1:I1" si="0">B1+1</f>
        <v>2019</v>
      </c>
      <c r="D1" s="27">
        <f t="shared" si="0"/>
        <v>2020</v>
      </c>
      <c r="E1" s="27">
        <f t="shared" si="0"/>
        <v>2021</v>
      </c>
      <c r="F1" s="27">
        <f t="shared" si="0"/>
        <v>2022</v>
      </c>
      <c r="G1" s="27">
        <f t="shared" si="0"/>
        <v>2023</v>
      </c>
      <c r="H1" s="27">
        <f t="shared" si="0"/>
        <v>2024</v>
      </c>
      <c r="I1" s="27">
        <f t="shared" si="0"/>
        <v>2025</v>
      </c>
    </row>
    <row r="2" spans="1:9" x14ac:dyDescent="0.2">
      <c r="A2" s="13" t="s">
        <v>20</v>
      </c>
      <c r="B2" s="7">
        <v>14135</v>
      </c>
      <c r="C2" s="7">
        <v>6313</v>
      </c>
      <c r="D2" s="7">
        <v>2687</v>
      </c>
      <c r="E2" s="7">
        <v>5861</v>
      </c>
      <c r="F2" s="7">
        <v>8687</v>
      </c>
      <c r="G2" s="7">
        <v>-5833</v>
      </c>
      <c r="H2" s="7">
        <v>778</v>
      </c>
      <c r="I2" s="7">
        <v>8539</v>
      </c>
    </row>
    <row r="3" spans="1:9" x14ac:dyDescent="0.2">
      <c r="A3" s="13" t="s">
        <v>21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</row>
    <row r="4" spans="1:9" x14ac:dyDescent="0.2">
      <c r="A4" s="13" t="s">
        <v>22</v>
      </c>
      <c r="B4" s="7">
        <v>1229</v>
      </c>
      <c r="C4" s="7">
        <v>1143</v>
      </c>
      <c r="D4" s="7">
        <v>1131</v>
      </c>
      <c r="E4" s="7">
        <v>1141</v>
      </c>
      <c r="F4" s="7">
        <v>1122</v>
      </c>
      <c r="G4" s="7">
        <v>1093</v>
      </c>
      <c r="H4" s="7">
        <v>1118</v>
      </c>
      <c r="I4" s="7">
        <v>1125</v>
      </c>
    </row>
    <row r="5" spans="1:9" x14ac:dyDescent="0.2">
      <c r="A5" s="13"/>
    </row>
    <row r="6" spans="1:9" x14ac:dyDescent="0.2">
      <c r="A6" s="13" t="s">
        <v>23</v>
      </c>
      <c r="B6" s="7">
        <f t="shared" ref="B6:F6" si="1">(B2-B3)/B4</f>
        <v>11.501220504475183</v>
      </c>
      <c r="C6" s="7">
        <f t="shared" si="1"/>
        <v>5.5231846019247595</v>
      </c>
      <c r="D6" s="7">
        <f t="shared" si="1"/>
        <v>2.3757736516357206</v>
      </c>
      <c r="E6" s="7">
        <f t="shared" si="1"/>
        <v>5.1367221735319895</v>
      </c>
      <c r="F6" s="7">
        <f t="shared" si="1"/>
        <v>7.7424242424242422</v>
      </c>
      <c r="G6" s="7">
        <f t="shared" ref="G6:H6" si="2">(G2-G3)/G4</f>
        <v>-5.3366880146386091</v>
      </c>
      <c r="H6" s="7">
        <f t="shared" si="2"/>
        <v>0.69588550983899822</v>
      </c>
      <c r="I6" s="7">
        <f>(I2-I3)/I4</f>
        <v>7.5902222222222226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5954-11A3-8B45-B370-466A17B90A3C}">
  <dimension ref="A2:G18"/>
  <sheetViews>
    <sheetView showGridLines="0" workbookViewId="0">
      <selection activeCell="B6" sqref="B6"/>
    </sheetView>
  </sheetViews>
  <sheetFormatPr baseColWidth="10" defaultColWidth="11.5" defaultRowHeight="15" x14ac:dyDescent="0.2"/>
  <cols>
    <col min="2" max="2" width="15.6640625" bestFit="1" customWidth="1"/>
    <col min="4" max="4" width="12.1640625" bestFit="1" customWidth="1"/>
  </cols>
  <sheetData>
    <row r="2" spans="1:7" x14ac:dyDescent="0.2">
      <c r="A2" s="28" t="s">
        <v>24</v>
      </c>
      <c r="B2" s="28" t="s">
        <v>25</v>
      </c>
      <c r="C2" s="28" t="s">
        <v>26</v>
      </c>
      <c r="D2" s="28" t="s">
        <v>27</v>
      </c>
      <c r="E2" s="28" t="s">
        <v>28</v>
      </c>
      <c r="F2" s="28" t="s">
        <v>29</v>
      </c>
      <c r="G2" s="28" t="s">
        <v>30</v>
      </c>
    </row>
    <row r="3" spans="1:7" x14ac:dyDescent="0.2">
      <c r="A3" s="29">
        <f>Snapshot!B3</f>
        <v>219375</v>
      </c>
      <c r="B3" s="29">
        <f>Snapshot!B2</f>
        <v>195</v>
      </c>
      <c r="C3" s="29">
        <v>82798</v>
      </c>
      <c r="D3" s="29">
        <v>28633</v>
      </c>
      <c r="E3" s="29">
        <f>C3-D3</f>
        <v>54165</v>
      </c>
      <c r="F3" s="30">
        <f>A3/E3</f>
        <v>4.0501246192190532</v>
      </c>
      <c r="G3" s="30">
        <f>E3/Snapshot!B1</f>
        <v>48.146666666666668</v>
      </c>
    </row>
    <row r="5" spans="1:7" x14ac:dyDescent="0.2">
      <c r="A5" s="28" t="s">
        <v>31</v>
      </c>
      <c r="B5" s="28" t="s">
        <v>32</v>
      </c>
      <c r="C5" s="28" t="s">
        <v>33</v>
      </c>
    </row>
    <row r="6" spans="1:7" x14ac:dyDescent="0.2">
      <c r="A6" s="29">
        <f>Snapshot!B8</f>
        <v>224310</v>
      </c>
      <c r="B6" s="29">
        <v>18483</v>
      </c>
      <c r="C6" s="31">
        <f>A6/B6</f>
        <v>12.136016880376562</v>
      </c>
    </row>
    <row r="7" spans="1:7" x14ac:dyDescent="0.2">
      <c r="C7" s="11"/>
    </row>
    <row r="8" spans="1:7" x14ac:dyDescent="0.2">
      <c r="A8" s="28" t="s">
        <v>25</v>
      </c>
      <c r="B8" s="28" t="s">
        <v>23</v>
      </c>
      <c r="C8" s="32" t="s">
        <v>34</v>
      </c>
    </row>
    <row r="9" spans="1:7" x14ac:dyDescent="0.2">
      <c r="A9" s="33">
        <f>B3</f>
        <v>195</v>
      </c>
      <c r="B9" s="29">
        <f>EPS!I6</f>
        <v>7.5902222222222226</v>
      </c>
      <c r="C9" s="31">
        <f>A9/B9</f>
        <v>25.690947417730413</v>
      </c>
    </row>
    <row r="10" spans="1:7" x14ac:dyDescent="0.2">
      <c r="C10" s="11"/>
    </row>
    <row r="11" spans="1:7" x14ac:dyDescent="0.2">
      <c r="A11" s="28" t="s">
        <v>24</v>
      </c>
      <c r="B11" s="28" t="s">
        <v>35</v>
      </c>
      <c r="C11" s="32" t="s">
        <v>36</v>
      </c>
    </row>
    <row r="12" spans="1:7" x14ac:dyDescent="0.2">
      <c r="A12" s="29">
        <f>A3</f>
        <v>219375</v>
      </c>
      <c r="B12" s="29">
        <v>1668</v>
      </c>
      <c r="C12" s="31">
        <f>A12/B12</f>
        <v>131.51978417266187</v>
      </c>
    </row>
    <row r="13" spans="1:7" x14ac:dyDescent="0.2">
      <c r="C13" s="11"/>
    </row>
    <row r="14" spans="1:7" x14ac:dyDescent="0.2">
      <c r="A14" s="28" t="s">
        <v>31</v>
      </c>
      <c r="B14" s="28" t="s">
        <v>37</v>
      </c>
      <c r="C14" s="32" t="s">
        <v>38</v>
      </c>
    </row>
    <row r="15" spans="1:7" x14ac:dyDescent="0.2">
      <c r="A15" s="29">
        <f>A6</f>
        <v>224310</v>
      </c>
      <c r="B15" s="29">
        <f>Revenue!I5</f>
        <v>37378</v>
      </c>
      <c r="C15" s="31">
        <f>A15/B15</f>
        <v>6.0011236556263041</v>
      </c>
    </row>
    <row r="16" spans="1:7" x14ac:dyDescent="0.2">
      <c r="C16" s="11"/>
    </row>
    <row r="17" spans="1:3" x14ac:dyDescent="0.2">
      <c r="A17" s="28" t="s">
        <v>39</v>
      </c>
      <c r="B17" s="28" t="s">
        <v>40</v>
      </c>
      <c r="C17" s="32" t="s">
        <v>41</v>
      </c>
    </row>
    <row r="18" spans="1:3" x14ac:dyDescent="0.2">
      <c r="A18" s="29">
        <f>Snapshot!B7</f>
        <v>14577</v>
      </c>
      <c r="B18" s="29">
        <f>E3</f>
        <v>54165</v>
      </c>
      <c r="C18" s="34">
        <f>A18/B18</f>
        <v>0.26912212683467185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A299-E002-A747-ADEC-DA4BF45CD39B}">
  <dimension ref="A1:I5"/>
  <sheetViews>
    <sheetView showGridLines="0" workbookViewId="0">
      <selection activeCell="D20" sqref="D20"/>
    </sheetView>
  </sheetViews>
  <sheetFormatPr baseColWidth="10" defaultColWidth="11.5" defaultRowHeight="15" x14ac:dyDescent="0.2"/>
  <sheetData>
    <row r="1" spans="1:9" x14ac:dyDescent="0.2">
      <c r="A1" s="15"/>
      <c r="B1" s="35">
        <v>2018</v>
      </c>
      <c r="C1" s="27">
        <f t="shared" ref="C1:I1" si="0">B1+1</f>
        <v>2019</v>
      </c>
      <c r="D1" s="27">
        <f t="shared" si="0"/>
        <v>2020</v>
      </c>
      <c r="E1" s="27">
        <f t="shared" si="0"/>
        <v>2021</v>
      </c>
      <c r="F1" s="27">
        <f t="shared" si="0"/>
        <v>2022</v>
      </c>
      <c r="G1" s="27">
        <f t="shared" si="0"/>
        <v>2023</v>
      </c>
      <c r="H1" s="27">
        <f t="shared" si="0"/>
        <v>2024</v>
      </c>
      <c r="I1" s="27">
        <f t="shared" si="0"/>
        <v>2025</v>
      </c>
    </row>
    <row r="2" spans="1:9" x14ac:dyDescent="0.2">
      <c r="A2" s="13" t="s">
        <v>42</v>
      </c>
      <c r="B2" s="7">
        <v>21232</v>
      </c>
      <c r="C2" s="7">
        <v>15247</v>
      </c>
      <c r="D2" s="7">
        <v>14510</v>
      </c>
      <c r="E2" s="7">
        <v>20039</v>
      </c>
      <c r="F2" s="7">
        <v>22386</v>
      </c>
      <c r="G2" s="7">
        <v>10978</v>
      </c>
      <c r="H2" s="7">
        <v>17603</v>
      </c>
      <c r="I2" s="7">
        <v>28578</v>
      </c>
    </row>
    <row r="3" spans="1:9" x14ac:dyDescent="0.2">
      <c r="A3" s="13" t="s">
        <v>43</v>
      </c>
      <c r="B3" s="7">
        <v>7987</v>
      </c>
      <c r="C3" s="7">
        <v>6946</v>
      </c>
      <c r="D3" s="7">
        <v>6131</v>
      </c>
      <c r="E3" s="7">
        <v>7007</v>
      </c>
      <c r="F3" s="7">
        <v>7811</v>
      </c>
      <c r="G3" s="7">
        <v>4206</v>
      </c>
      <c r="H3" s="7">
        <v>7227</v>
      </c>
      <c r="I3" s="7">
        <v>8503</v>
      </c>
    </row>
    <row r="4" spans="1:9" x14ac:dyDescent="0.2">
      <c r="A4" s="13" t="s">
        <v>44</v>
      </c>
      <c r="B4" s="7">
        <v>1262</v>
      </c>
      <c r="C4" s="7">
        <v>1213</v>
      </c>
      <c r="D4" s="7">
        <v>794</v>
      </c>
      <c r="E4" s="7">
        <v>659</v>
      </c>
      <c r="F4" s="7">
        <v>561</v>
      </c>
      <c r="G4" s="7">
        <v>356</v>
      </c>
      <c r="H4" s="7">
        <v>281</v>
      </c>
      <c r="I4" s="7">
        <v>297</v>
      </c>
    </row>
    <row r="5" spans="1:9" x14ac:dyDescent="0.2">
      <c r="A5" s="13" t="s">
        <v>45</v>
      </c>
      <c r="B5" s="7">
        <f>SUM(B2:B4)</f>
        <v>30481</v>
      </c>
      <c r="C5" s="7">
        <f t="shared" ref="C5:I5" si="1">SUM(C2:C4)</f>
        <v>23406</v>
      </c>
      <c r="D5" s="7">
        <f t="shared" si="1"/>
        <v>21435</v>
      </c>
      <c r="E5" s="7">
        <f t="shared" si="1"/>
        <v>27705</v>
      </c>
      <c r="F5" s="7">
        <f t="shared" si="1"/>
        <v>30758</v>
      </c>
      <c r="G5" s="7">
        <f t="shared" si="1"/>
        <v>15540</v>
      </c>
      <c r="H5" s="7">
        <f t="shared" si="1"/>
        <v>25111</v>
      </c>
      <c r="I5" s="7">
        <f t="shared" si="1"/>
        <v>37378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AD59-01F6-D144-A4E6-A7D709A72BF4}">
  <dimension ref="A1:AC54"/>
  <sheetViews>
    <sheetView showGridLines="0" tabSelected="1" zoomScale="89" workbookViewId="0">
      <selection activeCell="Q6" sqref="Q6:R9"/>
    </sheetView>
  </sheetViews>
  <sheetFormatPr baseColWidth="10" defaultColWidth="11.5" defaultRowHeight="15" x14ac:dyDescent="0.2"/>
  <cols>
    <col min="1" max="1" width="27.33203125" customWidth="1"/>
    <col min="2" max="9" width="13.5" bestFit="1" customWidth="1"/>
    <col min="10" max="10" width="13.83203125" bestFit="1" customWidth="1"/>
    <col min="11" max="12" width="13.5" bestFit="1" customWidth="1"/>
    <col min="13" max="15" width="14.5" bestFit="1" customWidth="1"/>
    <col min="17" max="17" width="26.6640625" bestFit="1" customWidth="1"/>
  </cols>
  <sheetData>
    <row r="1" spans="1:29" ht="16" x14ac:dyDescent="0.2">
      <c r="A1" s="15"/>
      <c r="B1" s="16" t="s">
        <v>92</v>
      </c>
      <c r="C1" s="17" t="s">
        <v>93</v>
      </c>
      <c r="D1" s="17" t="s">
        <v>94</v>
      </c>
      <c r="E1" s="17" t="s">
        <v>95</v>
      </c>
      <c r="F1" s="17" t="s">
        <v>96</v>
      </c>
      <c r="G1" s="17" t="s">
        <v>97</v>
      </c>
      <c r="H1" s="17" t="s">
        <v>98</v>
      </c>
      <c r="I1" s="17" t="s">
        <v>105</v>
      </c>
      <c r="J1" s="18" t="s">
        <v>99</v>
      </c>
      <c r="K1" s="18" t="s">
        <v>100</v>
      </c>
      <c r="L1" s="18" t="s">
        <v>101</v>
      </c>
      <c r="M1" s="18" t="s">
        <v>102</v>
      </c>
      <c r="N1" s="18" t="s">
        <v>103</v>
      </c>
      <c r="O1" s="18" t="s">
        <v>104</v>
      </c>
    </row>
    <row r="2" spans="1:29" x14ac:dyDescent="0.2">
      <c r="A2" s="13" t="s">
        <v>42</v>
      </c>
      <c r="B2" s="10">
        <v>21232</v>
      </c>
      <c r="C2" s="10">
        <v>15247</v>
      </c>
      <c r="D2" s="10">
        <v>14510</v>
      </c>
      <c r="E2" s="10">
        <v>20039</v>
      </c>
      <c r="F2" s="10">
        <v>22386</v>
      </c>
      <c r="G2" s="10">
        <v>10978</v>
      </c>
      <c r="H2" s="10">
        <v>17603</v>
      </c>
      <c r="I2" s="10">
        <v>28578</v>
      </c>
      <c r="J2" s="10">
        <f t="shared" ref="J2:O2" si="0">I2*(1+J33)*(1+J34)</f>
        <v>41012.287799999991</v>
      </c>
      <c r="K2" s="10">
        <f t="shared" si="0"/>
        <v>54037.790405279993</v>
      </c>
      <c r="L2" s="10">
        <f t="shared" si="0"/>
        <v>68736.069395516155</v>
      </c>
      <c r="M2" s="10">
        <f t="shared" si="0"/>
        <v>83720.532523738671</v>
      </c>
      <c r="N2" s="10">
        <f t="shared" si="0"/>
        <v>94704.666390853206</v>
      </c>
      <c r="O2" s="10">
        <f t="shared" si="0"/>
        <v>108275.84508466248</v>
      </c>
    </row>
    <row r="3" spans="1:29" x14ac:dyDescent="0.2">
      <c r="A3" s="13" t="s">
        <v>43</v>
      </c>
      <c r="B3" s="10">
        <v>7987</v>
      </c>
      <c r="C3" s="10">
        <v>6946</v>
      </c>
      <c r="D3" s="10">
        <v>6131</v>
      </c>
      <c r="E3" s="10">
        <v>7007</v>
      </c>
      <c r="F3" s="10">
        <v>7811</v>
      </c>
      <c r="G3" s="10">
        <v>4206</v>
      </c>
      <c r="H3" s="10">
        <v>7227</v>
      </c>
      <c r="I3" s="10">
        <v>8503</v>
      </c>
      <c r="J3" s="10">
        <f t="shared" ref="J3:O3" si="1">I3*(1+J36)*(1+J37)</f>
        <v>11618.4992</v>
      </c>
      <c r="K3" s="10">
        <f t="shared" si="1"/>
        <v>15057.574963200001</v>
      </c>
      <c r="L3" s="10">
        <f t="shared" si="1"/>
        <v>18656.335379404802</v>
      </c>
      <c r="M3" s="10">
        <f t="shared" si="1"/>
        <v>22290.589511312857</v>
      </c>
      <c r="N3" s="10">
        <f t="shared" si="1"/>
        <v>26146.86149676998</v>
      </c>
      <c r="O3" s="10">
        <f t="shared" si="1"/>
        <v>29841.413026263577</v>
      </c>
    </row>
    <row r="4" spans="1:29" x14ac:dyDescent="0.2">
      <c r="A4" s="13" t="s">
        <v>44</v>
      </c>
      <c r="B4" s="10">
        <v>1262</v>
      </c>
      <c r="C4" s="10">
        <v>1213</v>
      </c>
      <c r="D4" s="10">
        <v>794</v>
      </c>
      <c r="E4" s="10">
        <v>659</v>
      </c>
      <c r="F4" s="10">
        <v>561</v>
      </c>
      <c r="G4" s="10">
        <v>356</v>
      </c>
      <c r="H4" s="10">
        <v>281</v>
      </c>
      <c r="I4" s="10">
        <v>297</v>
      </c>
      <c r="J4" s="10">
        <f>I4*1.15</f>
        <v>341.54999999999995</v>
      </c>
      <c r="K4" s="10">
        <f t="shared" ref="K4:M4" si="2">J4*1.15</f>
        <v>392.78249999999991</v>
      </c>
      <c r="L4" s="10">
        <f t="shared" si="2"/>
        <v>451.69987499999985</v>
      </c>
      <c r="M4" s="10">
        <f t="shared" si="2"/>
        <v>519.45485624999981</v>
      </c>
      <c r="N4" s="10">
        <f>M4*1.1</f>
        <v>571.40034187499987</v>
      </c>
      <c r="O4" s="10">
        <f>N4*1.05</f>
        <v>599.97035896874991</v>
      </c>
    </row>
    <row r="5" spans="1:29" ht="16" x14ac:dyDescent="0.2">
      <c r="A5" s="14" t="s">
        <v>47</v>
      </c>
      <c r="B5" s="12">
        <f>SUM(B2:B4)</f>
        <v>30481</v>
      </c>
      <c r="C5" s="12">
        <f t="shared" ref="C5:O5" si="3">SUM(C2:C4)</f>
        <v>23406</v>
      </c>
      <c r="D5" s="12">
        <f t="shared" si="3"/>
        <v>21435</v>
      </c>
      <c r="E5" s="12">
        <f t="shared" si="3"/>
        <v>27705</v>
      </c>
      <c r="F5" s="12">
        <f t="shared" si="3"/>
        <v>30758</v>
      </c>
      <c r="G5" s="12">
        <f t="shared" si="3"/>
        <v>15540</v>
      </c>
      <c r="H5" s="12">
        <f t="shared" si="3"/>
        <v>25111</v>
      </c>
      <c r="I5" s="12">
        <f t="shared" si="3"/>
        <v>37378</v>
      </c>
      <c r="J5" s="12">
        <f t="shared" si="3"/>
        <v>52972.336999999992</v>
      </c>
      <c r="K5" s="12">
        <f t="shared" si="3"/>
        <v>69488.147868479995</v>
      </c>
      <c r="L5" s="12">
        <f t="shared" si="3"/>
        <v>87844.104649920962</v>
      </c>
      <c r="M5" s="12">
        <f t="shared" si="3"/>
        <v>106530.57689130152</v>
      </c>
      <c r="N5" s="12">
        <f>SUM(N2:N4)</f>
        <v>121422.92822949818</v>
      </c>
      <c r="O5" s="12">
        <f t="shared" si="3"/>
        <v>138717.22846989479</v>
      </c>
      <c r="Q5" s="39" t="s">
        <v>106</v>
      </c>
      <c r="R5" s="39"/>
    </row>
    <row r="6" spans="1:29" ht="16" x14ac:dyDescent="0.2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Q6" s="22" t="s">
        <v>46</v>
      </c>
      <c r="R6" s="21">
        <v>2.8000000000000001E-2</v>
      </c>
    </row>
    <row r="7" spans="1:29" ht="16" x14ac:dyDescent="0.2">
      <c r="A7" s="13" t="s">
        <v>49</v>
      </c>
      <c r="B7" s="10">
        <v>12500</v>
      </c>
      <c r="C7" s="10">
        <v>12704</v>
      </c>
      <c r="D7" s="10">
        <v>14883</v>
      </c>
      <c r="E7" s="10">
        <v>17282</v>
      </c>
      <c r="F7" s="10">
        <v>16860</v>
      </c>
      <c r="G7" s="10">
        <v>16956</v>
      </c>
      <c r="H7" s="10">
        <v>19498</v>
      </c>
      <c r="I7" s="10">
        <v>22505</v>
      </c>
      <c r="J7" s="10">
        <f>I7*(0.91+(0.6*J39))</f>
        <v>32767.279999999999</v>
      </c>
      <c r="K7" s="10">
        <f>J7*(1+(0.6*K39))</f>
        <v>51051.42224</v>
      </c>
      <c r="L7" s="10">
        <f>K7*(1+(0.3*L39))</f>
        <v>66366.848912000001</v>
      </c>
      <c r="M7" s="10">
        <f>L7*(1+(0.2*M39))</f>
        <v>80303.887183519997</v>
      </c>
      <c r="N7" s="10">
        <f>M7*(1+(0.1*N39))</f>
        <v>88575.187563422558</v>
      </c>
      <c r="O7" s="10">
        <f>N7*(1+(0.1*O39))</f>
        <v>96989.830381947701</v>
      </c>
      <c r="Q7" s="22" t="s">
        <v>107</v>
      </c>
      <c r="R7" s="21">
        <v>3.9E-2</v>
      </c>
    </row>
    <row r="8" spans="1:29" ht="16" x14ac:dyDescent="0.2">
      <c r="A8" s="14" t="s">
        <v>51</v>
      </c>
      <c r="B8" s="12">
        <f t="shared" ref="B8:F8" si="4">B5-B7</f>
        <v>17981</v>
      </c>
      <c r="C8" s="12">
        <f t="shared" si="4"/>
        <v>10702</v>
      </c>
      <c r="D8" s="12">
        <f t="shared" si="4"/>
        <v>6552</v>
      </c>
      <c r="E8" s="12">
        <f t="shared" si="4"/>
        <v>10423</v>
      </c>
      <c r="F8" s="12">
        <f t="shared" si="4"/>
        <v>13898</v>
      </c>
      <c r="G8" s="12">
        <f>G5-G7</f>
        <v>-1416</v>
      </c>
      <c r="H8" s="12">
        <f t="shared" ref="H8:O8" si="5">H5-H7</f>
        <v>5613</v>
      </c>
      <c r="I8" s="12">
        <f t="shared" si="5"/>
        <v>14873</v>
      </c>
      <c r="J8" s="12">
        <f t="shared" si="5"/>
        <v>20205.056999999993</v>
      </c>
      <c r="K8" s="12">
        <f t="shared" si="5"/>
        <v>18436.725628479995</v>
      </c>
      <c r="L8" s="12">
        <f t="shared" si="5"/>
        <v>21477.255737920961</v>
      </c>
      <c r="M8" s="12">
        <f t="shared" si="5"/>
        <v>26226.689707781523</v>
      </c>
      <c r="N8" s="12">
        <f t="shared" si="5"/>
        <v>32847.740666075624</v>
      </c>
      <c r="O8" s="12">
        <f t="shared" si="5"/>
        <v>41727.398087947091</v>
      </c>
      <c r="Q8" s="22" t="s">
        <v>55</v>
      </c>
      <c r="R8" s="21">
        <v>0.05</v>
      </c>
      <c r="S8" s="2"/>
      <c r="T8" s="2"/>
      <c r="U8" s="2"/>
      <c r="V8" s="2"/>
      <c r="W8" s="2"/>
      <c r="X8" s="7"/>
      <c r="Y8" s="7"/>
      <c r="Z8" s="7"/>
      <c r="AA8" s="7"/>
      <c r="AB8" s="7"/>
      <c r="AC8" s="7"/>
    </row>
    <row r="9" spans="1:29" ht="16" x14ac:dyDescent="0.2">
      <c r="A9" s="13" t="s">
        <v>53</v>
      </c>
      <c r="B9" s="10">
        <v>2141</v>
      </c>
      <c r="C9" s="10">
        <v>2441</v>
      </c>
      <c r="D9" s="10">
        <v>2600</v>
      </c>
      <c r="E9" s="10">
        <v>2663</v>
      </c>
      <c r="F9" s="10">
        <v>3116</v>
      </c>
      <c r="G9" s="10">
        <v>3114</v>
      </c>
      <c r="H9" s="10">
        <v>3430</v>
      </c>
      <c r="I9" s="10">
        <v>3798</v>
      </c>
      <c r="J9" s="10">
        <f>J5*0.15</f>
        <v>7945.8505499999983</v>
      </c>
      <c r="K9" s="10">
        <f t="shared" ref="K9:L9" si="6">K5*0.135</f>
        <v>9380.8999622447991</v>
      </c>
      <c r="L9" s="10">
        <f t="shared" si="6"/>
        <v>11858.954127739331</v>
      </c>
      <c r="M9" s="10">
        <f>0.1*M5</f>
        <v>10653.057689130153</v>
      </c>
      <c r="N9" s="10">
        <f t="shared" ref="N9:O9" si="7">0.1*N5</f>
        <v>12142.292822949819</v>
      </c>
      <c r="O9" s="10">
        <f t="shared" si="7"/>
        <v>13871.72284698948</v>
      </c>
      <c r="Q9" s="22" t="s">
        <v>56</v>
      </c>
      <c r="R9" s="19">
        <v>1.4</v>
      </c>
    </row>
    <row r="10" spans="1:29" ht="16" x14ac:dyDescent="0.2">
      <c r="A10" s="13" t="s">
        <v>54</v>
      </c>
      <c r="B10" s="10">
        <v>813</v>
      </c>
      <c r="C10" s="10">
        <v>836</v>
      </c>
      <c r="D10" s="10">
        <v>881</v>
      </c>
      <c r="E10" s="10">
        <v>894</v>
      </c>
      <c r="F10" s="10">
        <v>1066</v>
      </c>
      <c r="G10" s="10">
        <v>920</v>
      </c>
      <c r="H10" s="10">
        <v>1129</v>
      </c>
      <c r="I10" s="10">
        <v>1205</v>
      </c>
      <c r="J10" s="10">
        <f>0.03*J5</f>
        <v>1589.1701099999998</v>
      </c>
      <c r="K10" s="10">
        <f>0.03*K5</f>
        <v>2084.6444360543996</v>
      </c>
      <c r="L10" s="10">
        <f t="shared" ref="L10" si="8">0.03*L5</f>
        <v>2635.3231394976287</v>
      </c>
      <c r="M10" s="10">
        <f>0.025*M5</f>
        <v>2663.2644222825384</v>
      </c>
      <c r="N10" s="10">
        <f t="shared" ref="N10:O10" si="9">0.025*N5</f>
        <v>3035.5732057374548</v>
      </c>
      <c r="O10" s="10">
        <f t="shared" si="9"/>
        <v>3467.93071174737</v>
      </c>
      <c r="Q10" s="22" t="s">
        <v>58</v>
      </c>
      <c r="R10" s="21">
        <f>R7+(R9*R8)</f>
        <v>0.10899999999999999</v>
      </c>
    </row>
    <row r="11" spans="1:29" ht="16" x14ac:dyDescent="0.2">
      <c r="A11" s="1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22" t="s">
        <v>60</v>
      </c>
      <c r="R11" s="21">
        <v>0.05</v>
      </c>
    </row>
    <row r="12" spans="1:29" ht="16" x14ac:dyDescent="0.2">
      <c r="A12" s="13" t="s">
        <v>57</v>
      </c>
      <c r="B12" s="10">
        <f t="shared" ref="B12:F12" si="10">SUM(B9:B10)</f>
        <v>2954</v>
      </c>
      <c r="C12" s="10">
        <f t="shared" si="10"/>
        <v>3277</v>
      </c>
      <c r="D12" s="10">
        <f t="shared" si="10"/>
        <v>3481</v>
      </c>
      <c r="E12" s="10">
        <f t="shared" si="10"/>
        <v>3557</v>
      </c>
      <c r="F12" s="10">
        <f t="shared" si="10"/>
        <v>4182</v>
      </c>
      <c r="G12" s="10">
        <f t="shared" ref="G12:H12" si="11">SUM(G9:G10)</f>
        <v>4034</v>
      </c>
      <c r="H12" s="10">
        <f t="shared" si="11"/>
        <v>4559</v>
      </c>
      <c r="I12" s="10">
        <f>SUM(I9:I10)</f>
        <v>5003</v>
      </c>
      <c r="J12" s="10">
        <f t="shared" ref="J12:O12" si="12">SUM(J9:J10)</f>
        <v>9535.0206599999983</v>
      </c>
      <c r="K12" s="10">
        <f t="shared" si="12"/>
        <v>11465.544398299198</v>
      </c>
      <c r="L12" s="10">
        <f t="shared" si="12"/>
        <v>14494.277267236959</v>
      </c>
      <c r="M12" s="10">
        <f t="shared" si="12"/>
        <v>13316.322111412692</v>
      </c>
      <c r="N12" s="10">
        <f t="shared" si="12"/>
        <v>15177.866028687275</v>
      </c>
      <c r="O12" s="10">
        <f t="shared" si="12"/>
        <v>17339.653558736849</v>
      </c>
      <c r="Q12" s="22" t="s">
        <v>61</v>
      </c>
      <c r="R12" s="21">
        <v>0.11</v>
      </c>
    </row>
    <row r="13" spans="1:29" ht="16" x14ac:dyDescent="0.2">
      <c r="A13" s="13" t="s">
        <v>59</v>
      </c>
      <c r="B13" s="10">
        <f>B8-B12</f>
        <v>15027</v>
      </c>
      <c r="C13" s="10">
        <f t="shared" ref="C13" si="13">C8-C12</f>
        <v>7425</v>
      </c>
      <c r="D13" s="10">
        <f t="shared" ref="D13" si="14">D8-D12</f>
        <v>3071</v>
      </c>
      <c r="E13" s="10">
        <f t="shared" ref="E13" si="15">E8-E12</f>
        <v>6866</v>
      </c>
      <c r="F13" s="10">
        <f t="shared" ref="F13" si="16">F8-F12</f>
        <v>9716</v>
      </c>
      <c r="G13" s="10">
        <f t="shared" ref="G13:H13" si="17">G8-G12</f>
        <v>-5450</v>
      </c>
      <c r="H13" s="10">
        <f t="shared" si="17"/>
        <v>1054</v>
      </c>
      <c r="I13" s="10">
        <f>I8-I12</f>
        <v>9870</v>
      </c>
      <c r="J13" s="10">
        <f t="shared" ref="J13:O13" si="18">J8-J12</f>
        <v>10670.036339999995</v>
      </c>
      <c r="K13" s="10">
        <f t="shared" si="18"/>
        <v>6971.1812301807968</v>
      </c>
      <c r="L13" s="10">
        <f t="shared" si="18"/>
        <v>6982.9784706840019</v>
      </c>
      <c r="M13" s="10">
        <f t="shared" si="18"/>
        <v>12910.367596368831</v>
      </c>
      <c r="N13" s="10">
        <f t="shared" si="18"/>
        <v>17669.874637388348</v>
      </c>
      <c r="O13" s="10">
        <f t="shared" si="18"/>
        <v>24387.744529210242</v>
      </c>
      <c r="Q13" s="22" t="s">
        <v>62</v>
      </c>
      <c r="R13" s="21">
        <v>0.85</v>
      </c>
    </row>
    <row r="14" spans="1:29" ht="16" x14ac:dyDescent="0.2">
      <c r="A14" s="14" t="s">
        <v>20</v>
      </c>
      <c r="B14" s="12">
        <f t="shared" ref="B14" si="19">(B13-B18)*(1-B17)</f>
        <v>15066.012000000001</v>
      </c>
      <c r="C14" s="12">
        <f t="shared" ref="C14" si="20">(C13-C18)*(1-C17)</f>
        <v>6627.8959999999997</v>
      </c>
      <c r="D14" s="12">
        <f t="shared" ref="D14" si="21">(D13-D18)*(1-D17)</f>
        <v>2854.806</v>
      </c>
      <c r="E14" s="12">
        <f t="shared" ref="E14" si="22">(E13-E18)*(1-E17)</f>
        <v>6570.2440000000006</v>
      </c>
      <c r="F14" s="12">
        <f t="shared" ref="F14" si="23">(F13-F18)*(1-F17)</f>
        <v>8896.7630000000008</v>
      </c>
      <c r="G14" s="12">
        <f t="shared" ref="G14:H14" si="24">(G13-G18)*(1-G17)</f>
        <v>-5701.4299999999994</v>
      </c>
      <c r="H14" s="12">
        <f t="shared" si="24"/>
        <v>691.33199999999999</v>
      </c>
      <c r="I14" s="12">
        <f>(I13-I18)*(1-I17)</f>
        <v>8708.2839999999997</v>
      </c>
      <c r="J14" s="12">
        <f t="shared" ref="J14:O14" si="25">(J13-J18)*(1-J17)</f>
        <v>8895.630525599996</v>
      </c>
      <c r="K14" s="12">
        <f>(K13-K18)*(1-K17)</f>
        <v>5771.7922333518691</v>
      </c>
      <c r="L14" s="12">
        <f t="shared" si="25"/>
        <v>5823.7019153745614</v>
      </c>
      <c r="M14" s="12">
        <f t="shared" si="25"/>
        <v>10574.201429022442</v>
      </c>
      <c r="N14" s="12">
        <f t="shared" si="25"/>
        <v>13943.400963536795</v>
      </c>
      <c r="O14" s="12">
        <f t="shared" si="25"/>
        <v>19022.440732783991</v>
      </c>
      <c r="Q14" s="22" t="s">
        <v>63</v>
      </c>
      <c r="R14" s="21">
        <f>1-R13</f>
        <v>0.15000000000000002</v>
      </c>
    </row>
    <row r="15" spans="1:29" ht="16" x14ac:dyDescent="0.2">
      <c r="A15" s="13"/>
      <c r="Q15" s="22" t="s">
        <v>66</v>
      </c>
      <c r="R15" s="21">
        <f>(R10*R13)+((R11*R14)*(1-R12))</f>
        <v>9.9324999999999983E-2</v>
      </c>
    </row>
    <row r="16" spans="1:29" x14ac:dyDescent="0.2">
      <c r="A16" s="13"/>
    </row>
    <row r="17" spans="1:18" ht="16" x14ac:dyDescent="0.2">
      <c r="A17" s="13" t="s">
        <v>64</v>
      </c>
      <c r="B17" s="3">
        <v>1.2E-2</v>
      </c>
      <c r="C17" s="3">
        <v>9.8000000000000004E-2</v>
      </c>
      <c r="D17" s="3">
        <v>9.4E-2</v>
      </c>
      <c r="E17" s="3">
        <v>6.3E-2</v>
      </c>
      <c r="F17" s="3">
        <v>9.2999999999999999E-2</v>
      </c>
      <c r="G17" s="3">
        <v>-3.1E-2</v>
      </c>
      <c r="H17" s="3">
        <v>0.36399999999999999</v>
      </c>
      <c r="I17" s="3">
        <v>0.11600000000000001</v>
      </c>
      <c r="J17" s="3">
        <v>0.16</v>
      </c>
      <c r="K17" s="3">
        <v>0.16</v>
      </c>
      <c r="L17" s="3">
        <v>0.16</v>
      </c>
      <c r="M17" s="3">
        <v>0.18</v>
      </c>
      <c r="N17" s="3">
        <v>0.21</v>
      </c>
      <c r="O17" s="3">
        <v>0.22</v>
      </c>
      <c r="Q17" s="39" t="s">
        <v>108</v>
      </c>
      <c r="R17" s="39"/>
    </row>
    <row r="18" spans="1:18" ht="16" x14ac:dyDescent="0.2">
      <c r="A18" s="13" t="s">
        <v>65</v>
      </c>
      <c r="B18" s="10">
        <v>-222</v>
      </c>
      <c r="C18" s="10">
        <v>77</v>
      </c>
      <c r="D18" s="10">
        <v>-80</v>
      </c>
      <c r="E18" s="10">
        <v>-146</v>
      </c>
      <c r="F18" s="10">
        <v>-93</v>
      </c>
      <c r="G18" s="10">
        <v>80</v>
      </c>
      <c r="H18" s="10">
        <v>-33</v>
      </c>
      <c r="I18" s="10">
        <v>19</v>
      </c>
      <c r="J18" s="10">
        <v>80</v>
      </c>
      <c r="K18" s="10">
        <v>100</v>
      </c>
      <c r="L18" s="10">
        <v>50</v>
      </c>
      <c r="M18" s="10">
        <v>15</v>
      </c>
      <c r="N18" s="10">
        <v>20</v>
      </c>
      <c r="O18" s="10">
        <v>0</v>
      </c>
      <c r="Q18" s="23" t="s">
        <v>48</v>
      </c>
      <c r="R18" s="24">
        <f>SUM(J42:O42)</f>
        <v>76176.143205547152</v>
      </c>
    </row>
    <row r="19" spans="1:18" ht="16" x14ac:dyDescent="0.2">
      <c r="A19" s="13" t="s">
        <v>90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10000</v>
      </c>
      <c r="K19" s="10">
        <v>15000</v>
      </c>
      <c r="L19" s="10">
        <v>12000</v>
      </c>
      <c r="M19" s="10">
        <v>11000</v>
      </c>
      <c r="N19" s="10">
        <v>12000</v>
      </c>
      <c r="O19" s="10">
        <v>13000</v>
      </c>
      <c r="Q19" s="23" t="s">
        <v>52</v>
      </c>
      <c r="R19" s="25">
        <f>R20/(1.106)^6</f>
        <v>179714.31027884918</v>
      </c>
    </row>
    <row r="20" spans="1:18" ht="16" x14ac:dyDescent="0.2">
      <c r="A20" s="13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542</v>
      </c>
      <c r="M20" s="10">
        <v>1684</v>
      </c>
      <c r="N20" s="10">
        <v>1955</v>
      </c>
      <c r="O20" s="10">
        <v>7400</v>
      </c>
      <c r="Q20" s="23" t="s">
        <v>50</v>
      </c>
      <c r="R20" s="25">
        <f>(O31*(1+R6))/(R15-R6)</f>
        <v>328937.52643956459</v>
      </c>
    </row>
    <row r="21" spans="1:18" ht="16" x14ac:dyDescent="0.2">
      <c r="A21" s="1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23" t="s">
        <v>31</v>
      </c>
      <c r="R21" s="25">
        <f>R18+R19</f>
        <v>255890.45348439633</v>
      </c>
    </row>
    <row r="22" spans="1:18" ht="16" x14ac:dyDescent="0.2">
      <c r="A22" s="13" t="s">
        <v>67</v>
      </c>
      <c r="B22" s="10">
        <v>4759</v>
      </c>
      <c r="C22" s="10">
        <v>5424</v>
      </c>
      <c r="D22" s="10">
        <v>5650</v>
      </c>
      <c r="E22" s="10">
        <v>6214</v>
      </c>
      <c r="F22" s="10">
        <v>7116</v>
      </c>
      <c r="G22" s="10">
        <v>7756</v>
      </c>
      <c r="H22" s="10">
        <v>7780</v>
      </c>
      <c r="I22" s="10">
        <v>8352</v>
      </c>
      <c r="J22" s="10">
        <f>0.8*J23</f>
        <v>13600</v>
      </c>
      <c r="K22" s="10">
        <f t="shared" ref="K22:O22" si="26">0.8*K23</f>
        <v>15200</v>
      </c>
      <c r="L22" s="10">
        <f t="shared" si="26"/>
        <v>16000</v>
      </c>
      <c r="M22" s="10">
        <f t="shared" si="26"/>
        <v>15200</v>
      </c>
      <c r="N22" s="10">
        <f t="shared" si="26"/>
        <v>15200</v>
      </c>
      <c r="O22" s="10">
        <f t="shared" si="26"/>
        <v>8800</v>
      </c>
      <c r="Q22" s="23" t="s">
        <v>68</v>
      </c>
      <c r="R22" s="25">
        <f>R21-Snapshot!B9</f>
        <v>250955.45348439633</v>
      </c>
    </row>
    <row r="23" spans="1:18" ht="16" x14ac:dyDescent="0.2">
      <c r="A23" s="13" t="s">
        <v>69</v>
      </c>
      <c r="B23" s="10">
        <v>8879</v>
      </c>
      <c r="C23" s="10">
        <v>9780</v>
      </c>
      <c r="D23" s="10">
        <v>8223</v>
      </c>
      <c r="E23" s="10">
        <v>10030</v>
      </c>
      <c r="F23" s="10">
        <v>12067</v>
      </c>
      <c r="G23" s="10">
        <v>7676</v>
      </c>
      <c r="H23" s="10">
        <v>8386</v>
      </c>
      <c r="I23" s="10">
        <v>15857</v>
      </c>
      <c r="J23" s="10">
        <v>17000</v>
      </c>
      <c r="K23" s="10">
        <v>19000</v>
      </c>
      <c r="L23" s="10">
        <v>20000</v>
      </c>
      <c r="M23" s="10">
        <v>19000</v>
      </c>
      <c r="N23" s="10">
        <v>19000</v>
      </c>
      <c r="O23" s="10">
        <v>11000</v>
      </c>
      <c r="Q23" s="23" t="s">
        <v>12</v>
      </c>
      <c r="R23" s="25">
        <f>R22/Snapshot!B1</f>
        <v>223.07151420835228</v>
      </c>
    </row>
    <row r="24" spans="1:18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8" x14ac:dyDescent="0.2">
      <c r="A25" s="13" t="s">
        <v>70</v>
      </c>
      <c r="B25" s="10">
        <v>-1734</v>
      </c>
      <c r="C25" s="10">
        <v>2431</v>
      </c>
      <c r="D25" s="10">
        <v>-723</v>
      </c>
      <c r="E25" s="10">
        <v>-1446</v>
      </c>
      <c r="F25" s="10">
        <v>190</v>
      </c>
      <c r="G25" s="10">
        <v>2763</v>
      </c>
      <c r="H25" s="10">
        <v>-3581</v>
      </c>
      <c r="I25" s="10">
        <v>-1776</v>
      </c>
      <c r="J25" s="10">
        <v>250</v>
      </c>
      <c r="K25" s="10">
        <v>250</v>
      </c>
      <c r="L25" s="10">
        <v>250</v>
      </c>
      <c r="M25" s="10">
        <v>250</v>
      </c>
      <c r="N25" s="10">
        <v>250</v>
      </c>
      <c r="O25" s="10">
        <v>250</v>
      </c>
    </row>
    <row r="26" spans="1:18" x14ac:dyDescent="0.2">
      <c r="A26" s="13" t="s">
        <v>71</v>
      </c>
      <c r="B26" s="10">
        <v>-472</v>
      </c>
      <c r="C26" s="10">
        <v>-1528</v>
      </c>
      <c r="D26" s="10">
        <v>-435</v>
      </c>
      <c r="E26" s="10">
        <v>866</v>
      </c>
      <c r="F26" s="10">
        <v>-2179</v>
      </c>
      <c r="G26" s="10">
        <v>-3555</v>
      </c>
      <c r="H26" s="10">
        <v>-488</v>
      </c>
      <c r="I26" s="10">
        <v>520</v>
      </c>
      <c r="J26" s="10">
        <v>100</v>
      </c>
      <c r="K26" s="10">
        <v>100</v>
      </c>
      <c r="L26" s="10">
        <v>100</v>
      </c>
      <c r="M26" s="10">
        <v>100</v>
      </c>
      <c r="N26" s="10">
        <v>100</v>
      </c>
      <c r="O26" s="10">
        <v>100</v>
      </c>
    </row>
    <row r="27" spans="1:18" x14ac:dyDescent="0.2">
      <c r="A27" s="13" t="s">
        <v>72</v>
      </c>
      <c r="B27" s="10">
        <v>668</v>
      </c>
      <c r="C27" s="10">
        <v>-174</v>
      </c>
      <c r="D27" s="10">
        <v>725</v>
      </c>
      <c r="E27" s="10">
        <v>210</v>
      </c>
      <c r="F27" s="10">
        <v>744</v>
      </c>
      <c r="G27" s="10">
        <v>-1302</v>
      </c>
      <c r="H27" s="10">
        <v>1915</v>
      </c>
      <c r="I27" s="10">
        <v>862</v>
      </c>
      <c r="J27" s="10">
        <v>750</v>
      </c>
      <c r="K27" s="10">
        <v>750</v>
      </c>
      <c r="L27" s="10">
        <v>750</v>
      </c>
      <c r="M27" s="10">
        <v>750</v>
      </c>
      <c r="N27" s="10">
        <v>750</v>
      </c>
      <c r="O27" s="10">
        <v>750</v>
      </c>
    </row>
    <row r="28" spans="1:18" x14ac:dyDescent="0.2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8" x14ac:dyDescent="0.2">
      <c r="A29" s="13" t="s">
        <v>73</v>
      </c>
      <c r="B29" s="10">
        <f t="shared" ref="B29:H29" si="27">B25+B26-B27</f>
        <v>-2874</v>
      </c>
      <c r="C29" s="10">
        <f t="shared" si="27"/>
        <v>1077</v>
      </c>
      <c r="D29" s="10">
        <f t="shared" si="27"/>
        <v>-1883</v>
      </c>
      <c r="E29" s="10">
        <f t="shared" si="27"/>
        <v>-790</v>
      </c>
      <c r="F29" s="10">
        <f t="shared" si="27"/>
        <v>-2733</v>
      </c>
      <c r="G29" s="10">
        <f t="shared" si="27"/>
        <v>510</v>
      </c>
      <c r="H29" s="10">
        <f t="shared" si="27"/>
        <v>-5984</v>
      </c>
      <c r="I29" s="10">
        <f>I25+I26-I27</f>
        <v>-2118</v>
      </c>
      <c r="J29" s="10">
        <f t="shared" ref="J29:O29" si="28">J25+J26-J27</f>
        <v>-400</v>
      </c>
      <c r="K29" s="10">
        <f t="shared" si="28"/>
        <v>-400</v>
      </c>
      <c r="L29" s="10">
        <f t="shared" si="28"/>
        <v>-400</v>
      </c>
      <c r="M29" s="10">
        <f t="shared" si="28"/>
        <v>-400</v>
      </c>
      <c r="N29" s="10">
        <f t="shared" si="28"/>
        <v>-400</v>
      </c>
      <c r="O29" s="10">
        <f t="shared" si="28"/>
        <v>-400</v>
      </c>
    </row>
    <row r="30" spans="1:18" x14ac:dyDescent="0.2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8" x14ac:dyDescent="0.2">
      <c r="A31" s="14" t="s">
        <v>35</v>
      </c>
      <c r="B31" s="12">
        <f>((B13-B18)*(1-B17))+B22-B23-B29+B19-B20</f>
        <v>13820.012000000002</v>
      </c>
      <c r="C31" s="12">
        <f t="shared" ref="B31:I31" si="29">((C13-C18)*(1-C17))+C22-C23-C29+C19-C20</f>
        <v>1194.8960000000006</v>
      </c>
      <c r="D31" s="12">
        <f t="shared" si="29"/>
        <v>2164.8060000000005</v>
      </c>
      <c r="E31" s="12">
        <f t="shared" si="29"/>
        <v>3544.2440000000006</v>
      </c>
      <c r="F31" s="12">
        <f t="shared" si="29"/>
        <v>6678.7630000000008</v>
      </c>
      <c r="G31" s="12">
        <f t="shared" si="29"/>
        <v>-6131.4299999999994</v>
      </c>
      <c r="H31" s="12">
        <f t="shared" si="29"/>
        <v>6069.3320000000003</v>
      </c>
      <c r="I31" s="12">
        <f t="shared" si="29"/>
        <v>3321.2839999999997</v>
      </c>
      <c r="J31" s="12">
        <f>((J13-J18)*(1-J17))+J22-J23-J29+J19-J20</f>
        <v>15895.630525599998</v>
      </c>
      <c r="K31" s="12">
        <f t="shared" ref="K31:O31" si="30">((K13-K18)*(1-K17))+K22-K23-K29+K19-K20</f>
        <v>17371.792233351869</v>
      </c>
      <c r="L31" s="12">
        <f t="shared" si="30"/>
        <v>13681.70191537456</v>
      </c>
      <c r="M31" s="12">
        <f t="shared" si="30"/>
        <v>16490.20142902244</v>
      </c>
      <c r="N31" s="12">
        <f t="shared" si="30"/>
        <v>20588.400963536795</v>
      </c>
      <c r="O31" s="12">
        <f t="shared" si="30"/>
        <v>22822.440732783991</v>
      </c>
    </row>
    <row r="32" spans="1:18" x14ac:dyDescent="0.2">
      <c r="A32" s="13"/>
    </row>
    <row r="33" spans="1:19" hidden="1" x14ac:dyDescent="0.2">
      <c r="A33" s="13" t="s">
        <v>74</v>
      </c>
      <c r="J33" s="2">
        <v>0.27</v>
      </c>
      <c r="K33" s="2">
        <v>0.22</v>
      </c>
      <c r="L33" s="2">
        <v>0.2</v>
      </c>
      <c r="M33" s="2">
        <v>0.16</v>
      </c>
      <c r="N33" s="2">
        <v>0.12</v>
      </c>
      <c r="O33" s="2">
        <v>0.11</v>
      </c>
      <c r="P33" s="2"/>
    </row>
    <row r="34" spans="1:19" hidden="1" x14ac:dyDescent="0.2">
      <c r="A34" s="13" t="s">
        <v>75</v>
      </c>
      <c r="J34" s="2">
        <v>0.13</v>
      </c>
      <c r="K34" s="2">
        <v>0.08</v>
      </c>
      <c r="L34" s="2">
        <v>0.06</v>
      </c>
      <c r="M34" s="2">
        <v>0.05</v>
      </c>
      <c r="N34" s="2">
        <v>0.01</v>
      </c>
      <c r="O34" s="2">
        <v>0.03</v>
      </c>
    </row>
    <row r="35" spans="1:19" hidden="1" x14ac:dyDescent="0.2">
      <c r="A35" s="13"/>
      <c r="Q35" s="6"/>
    </row>
    <row r="36" spans="1:19" hidden="1" x14ac:dyDescent="0.2">
      <c r="A36" s="13" t="s">
        <v>76</v>
      </c>
      <c r="C36" s="2"/>
      <c r="D36" s="2"/>
      <c r="E36" s="2"/>
      <c r="F36" s="2"/>
      <c r="G36" s="2"/>
      <c r="H36" s="2"/>
      <c r="I36" s="2"/>
      <c r="J36" s="2">
        <v>0.22</v>
      </c>
      <c r="K36" s="2">
        <v>0.2</v>
      </c>
      <c r="L36" s="2">
        <v>0.18</v>
      </c>
      <c r="M36" s="2">
        <v>0.16</v>
      </c>
      <c r="N36" s="2">
        <v>0.15</v>
      </c>
      <c r="O36" s="2">
        <v>0.13</v>
      </c>
      <c r="Q36" s="6"/>
      <c r="S36" s="4"/>
    </row>
    <row r="37" spans="1:19" hidden="1" x14ac:dyDescent="0.2">
      <c r="A37" s="13" t="s">
        <v>77</v>
      </c>
      <c r="C37" s="2"/>
      <c r="D37" s="2"/>
      <c r="E37" s="2"/>
      <c r="F37" s="2"/>
      <c r="G37" s="2"/>
      <c r="H37" s="2"/>
      <c r="I37" s="2"/>
      <c r="J37" s="2">
        <v>0.12</v>
      </c>
      <c r="K37" s="2">
        <v>0.08</v>
      </c>
      <c r="L37" s="2">
        <v>0.05</v>
      </c>
      <c r="M37" s="2">
        <v>0.03</v>
      </c>
      <c r="N37" s="2">
        <v>0.02</v>
      </c>
      <c r="O37" s="2">
        <v>0.01</v>
      </c>
      <c r="Q37" s="6"/>
      <c r="R37" s="6"/>
    </row>
    <row r="38" spans="1:19" hidden="1" x14ac:dyDescent="0.2">
      <c r="A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6"/>
    </row>
    <row r="39" spans="1:19" hidden="1" x14ac:dyDescent="0.2">
      <c r="A39" s="13" t="s">
        <v>78</v>
      </c>
      <c r="C39" s="2"/>
      <c r="D39" s="2"/>
      <c r="E39" s="2"/>
      <c r="F39" s="2"/>
      <c r="G39" s="2"/>
      <c r="H39" s="2"/>
      <c r="I39" s="2"/>
      <c r="J39" s="7">
        <v>0.91</v>
      </c>
      <c r="K39" s="7">
        <v>0.93</v>
      </c>
      <c r="L39" s="7">
        <v>1</v>
      </c>
      <c r="M39" s="7">
        <v>1.05</v>
      </c>
      <c r="N39" s="7">
        <v>1.03</v>
      </c>
      <c r="O39" s="7">
        <v>0.95</v>
      </c>
      <c r="Q39" s="6"/>
    </row>
    <row r="40" spans="1:19" hidden="1" x14ac:dyDescent="0.2">
      <c r="A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6"/>
    </row>
    <row r="41" spans="1:19" hidden="1" x14ac:dyDescent="0.2">
      <c r="A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9" hidden="1" x14ac:dyDescent="0.2">
      <c r="A42" s="13" t="s">
        <v>52</v>
      </c>
      <c r="B42" s="2"/>
      <c r="C42" s="2"/>
      <c r="D42" s="2"/>
      <c r="E42" s="2"/>
      <c r="F42" s="2"/>
      <c r="G42" s="2"/>
      <c r="H42" s="2"/>
      <c r="I42" s="2"/>
      <c r="J42" s="10">
        <f>J31/(1+R15)^1</f>
        <v>14459.446046983376</v>
      </c>
      <c r="K42" s="10">
        <f>K31/(1+R15)^2</f>
        <v>14374.489091136875</v>
      </c>
      <c r="L42" s="10">
        <f>L31/(1+R15)^3</f>
        <v>10298.211590899764</v>
      </c>
      <c r="M42" s="10">
        <f>M31/(1+R15)^4</f>
        <v>11290.717538459025</v>
      </c>
      <c r="N42" s="10">
        <f>N31/(1+R15)^5</f>
        <v>12823.072428022788</v>
      </c>
      <c r="O42" s="10">
        <f>O31/(1+R15)^6</f>
        <v>12930.20651004532</v>
      </c>
    </row>
    <row r="43" spans="1:19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9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9" x14ac:dyDescent="0.2">
      <c r="C46" s="2"/>
      <c r="D46" s="2"/>
      <c r="E46" s="2"/>
      <c r="F46" s="2"/>
      <c r="G46" s="2"/>
      <c r="H46" s="2"/>
      <c r="I46" s="2"/>
      <c r="J46" s="9"/>
      <c r="K46" s="2"/>
      <c r="L46" s="2"/>
      <c r="M46" s="2"/>
      <c r="N46" s="2"/>
      <c r="O46" s="2"/>
    </row>
    <row r="47" spans="1:19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9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3:15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3:15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3:15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3:15" x14ac:dyDescent="0.2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3:15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3:15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</sheetData>
  <mergeCells count="2">
    <mergeCell ref="Q17:R17"/>
    <mergeCell ref="Q5:R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51C3-A356-A74F-A08A-6F5A84BF15DE}">
  <dimension ref="A3:H15"/>
  <sheetViews>
    <sheetView workbookViewId="0">
      <selection activeCell="B15" sqref="B15:G15"/>
    </sheetView>
  </sheetViews>
  <sheetFormatPr baseColWidth="10" defaultRowHeight="15" x14ac:dyDescent="0.2"/>
  <sheetData>
    <row r="3" spans="1:8" x14ac:dyDescent="0.2">
      <c r="A3" t="s">
        <v>115</v>
      </c>
      <c r="B3">
        <v>51180</v>
      </c>
      <c r="D3" t="s">
        <v>115</v>
      </c>
      <c r="E3">
        <v>30000</v>
      </c>
    </row>
    <row r="4" spans="1:8" x14ac:dyDescent="0.2">
      <c r="A4" t="s">
        <v>117</v>
      </c>
      <c r="B4" s="12">
        <v>151857</v>
      </c>
      <c r="D4" t="s">
        <v>117</v>
      </c>
      <c r="E4" s="12">
        <v>40000</v>
      </c>
    </row>
    <row r="5" spans="1:8" x14ac:dyDescent="0.2">
      <c r="A5" t="s">
        <v>116</v>
      </c>
      <c r="B5">
        <v>6</v>
      </c>
      <c r="D5" t="s">
        <v>116</v>
      </c>
      <c r="E5">
        <v>6</v>
      </c>
    </row>
    <row r="6" spans="1:8" x14ac:dyDescent="0.2">
      <c r="A6" t="s">
        <v>114</v>
      </c>
      <c r="B6" s="2">
        <f>((B4/B3)^(1/B5))-1</f>
        <v>0.19873289286624973</v>
      </c>
      <c r="D6" t="s">
        <v>114</v>
      </c>
      <c r="E6" s="2">
        <f>((E4/E3)^(1/E5))-1</f>
        <v>4.9115063421648175E-2</v>
      </c>
    </row>
    <row r="15" spans="1:8" x14ac:dyDescent="0.2">
      <c r="B15" s="2">
        <f>DCF!J23/DCF!J5</f>
        <v>0.32092222021467548</v>
      </c>
      <c r="C15" s="2">
        <f>DCF!K23/DCF!K5</f>
        <v>0.2734279237944468</v>
      </c>
      <c r="D15" s="2">
        <f>DCF!L23/DCF!L5</f>
        <v>0.22767606408767688</v>
      </c>
      <c r="E15" s="2">
        <f>DCF!M23/DCF!M5</f>
        <v>0.17835254961011476</v>
      </c>
      <c r="F15" s="2">
        <f>DCF!N23/DCF!N5</f>
        <v>0.15647786029413338</v>
      </c>
      <c r="G15" s="2">
        <f>DCF!O23/DCF!O5</f>
        <v>7.9298008771760339E-2</v>
      </c>
      <c r="H1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C06B-40FD-C44E-9C79-6E9EED43EFA7}">
  <dimension ref="A1:B8"/>
  <sheetViews>
    <sheetView showRowColHeaders="0" workbookViewId="0">
      <selection activeCell="A12" sqref="A12"/>
    </sheetView>
  </sheetViews>
  <sheetFormatPr baseColWidth="10" defaultColWidth="11.5" defaultRowHeight="15" x14ac:dyDescent="0.2"/>
  <cols>
    <col min="1" max="1" width="208.33203125" customWidth="1"/>
    <col min="2" max="2" width="22.1640625" bestFit="1" customWidth="1"/>
  </cols>
  <sheetData>
    <row r="1" spans="1:2" x14ac:dyDescent="0.2">
      <c r="A1" s="5" t="s">
        <v>79</v>
      </c>
      <c r="B1" t="s">
        <v>80</v>
      </c>
    </row>
    <row r="2" spans="1:2" x14ac:dyDescent="0.2">
      <c r="A2" s="5" t="s">
        <v>81</v>
      </c>
      <c r="B2" t="s">
        <v>82</v>
      </c>
    </row>
    <row r="3" spans="1:2" x14ac:dyDescent="0.2">
      <c r="A3" s="5" t="s">
        <v>83</v>
      </c>
      <c r="B3" t="s">
        <v>84</v>
      </c>
    </row>
    <row r="4" spans="1:2" x14ac:dyDescent="0.2">
      <c r="A4" s="5" t="s">
        <v>85</v>
      </c>
      <c r="B4" t="s">
        <v>109</v>
      </c>
    </row>
    <row r="5" spans="1:2" x14ac:dyDescent="0.2">
      <c r="A5" s="5" t="s">
        <v>86</v>
      </c>
      <c r="B5" t="s">
        <v>113</v>
      </c>
    </row>
    <row r="6" spans="1:2" x14ac:dyDescent="0.2">
      <c r="A6" s="5" t="s">
        <v>87</v>
      </c>
      <c r="B6" t="s">
        <v>110</v>
      </c>
    </row>
    <row r="7" spans="1:2" x14ac:dyDescent="0.2">
      <c r="A7" s="5" t="s">
        <v>88</v>
      </c>
      <c r="B7" t="s">
        <v>111</v>
      </c>
    </row>
    <row r="8" spans="1:2" x14ac:dyDescent="0.2">
      <c r="A8" s="5" t="s">
        <v>89</v>
      </c>
      <c r="B8" t="s">
        <v>112</v>
      </c>
    </row>
  </sheetData>
  <hyperlinks>
    <hyperlink ref="A3" r:id="rId1" xr:uid="{8134B767-D1EC-1C44-A671-78634A409167}"/>
    <hyperlink ref="A4" r:id="rId2" xr:uid="{9B9CE9CC-2448-6C4F-8F7E-101BCD2BB331}"/>
    <hyperlink ref="A2" r:id="rId3" xr:uid="{7C572C05-EFF8-6442-A4A7-6E17EAE43664}"/>
    <hyperlink ref="A1" r:id="rId4" xr:uid="{5A0C945B-DCBA-DD43-AEF5-4DA0D8D74843}"/>
    <hyperlink ref="A5" r:id="rId5" xr:uid="{BD358A67-C78B-AC4F-BCEF-28E889C76D1C}"/>
    <hyperlink ref="A6" r:id="rId6" xr:uid="{69638BDB-19FA-C64C-B816-FAAE05FD1BD0}"/>
    <hyperlink ref="A7" r:id="rId7" xr:uid="{E77EBDFC-8873-4645-A94D-8BD3B580327E}"/>
    <hyperlink ref="A8" r:id="rId8" xr:uid="{0A352EE6-B85C-A146-AE66-44353E92AC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Snapshot</vt:lpstr>
      <vt:lpstr>EPS</vt:lpstr>
      <vt:lpstr>Ratios</vt:lpstr>
      <vt:lpstr>Revenue</vt:lpstr>
      <vt:lpstr>DCF</vt:lpstr>
      <vt:lpstr>Assumptions</vt:lpstr>
      <vt:lpstr>Refrences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isa haji</cp:lastModifiedBy>
  <cp:revision/>
  <dcterms:created xsi:type="dcterms:W3CDTF">2025-10-07T20:21:19Z</dcterms:created>
  <dcterms:modified xsi:type="dcterms:W3CDTF">2025-10-24T10:30:33Z</dcterms:modified>
  <cp:category/>
  <cp:contentStatus/>
</cp:coreProperties>
</file>